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Drill &amp; Blast" sheetId="22" r:id="rId1"/>
  </sheets>
  <definedNames>
    <definedName name="_xlnm.Print_Area" localSheetId="0">'Drill &amp; Blast'!$A$1:$E$26</definedName>
  </definedNames>
  <calcPr calcId="145621"/>
</workbook>
</file>

<file path=xl/calcChain.xml><?xml version="1.0" encoding="utf-8"?>
<calcChain xmlns="http://schemas.openxmlformats.org/spreadsheetml/2006/main">
  <c r="B6" i="22" l="1"/>
  <c r="J2" i="22" l="1"/>
  <c r="H15" i="22" l="1"/>
  <c r="H11" i="22"/>
  <c r="H12" i="22" s="1"/>
  <c r="D18" i="22"/>
  <c r="C18" i="22"/>
  <c r="B25" i="22" s="1"/>
  <c r="B19" i="22"/>
  <c r="D19" i="22" s="1"/>
  <c r="D26" i="22" s="1"/>
  <c r="B11" i="22" l="1"/>
  <c r="C25" i="22"/>
  <c r="D25" i="22"/>
  <c r="B14" i="22" s="1"/>
  <c r="E25" i="22"/>
  <c r="E26" i="22"/>
  <c r="C19" i="22"/>
  <c r="B26" i="22" s="1"/>
  <c r="C15" i="22" l="1"/>
  <c r="C12" i="22"/>
  <c r="B12" i="22"/>
  <c r="C11" i="22"/>
  <c r="B15" i="22"/>
  <c r="C14" i="22"/>
  <c r="C26" i="22"/>
  <c r="C13" i="22" s="1"/>
  <c r="B13" i="22"/>
</calcChain>
</file>

<file path=xl/sharedStrings.xml><?xml version="1.0" encoding="utf-8"?>
<sst xmlns="http://schemas.openxmlformats.org/spreadsheetml/2006/main" count="65" uniqueCount="57">
  <si>
    <r>
      <t>NO</t>
    </r>
    <r>
      <rPr>
        <vertAlign val="subscript"/>
        <sz val="10"/>
        <rFont val="Arial"/>
        <family val="2"/>
      </rPr>
      <t>X</t>
    </r>
  </si>
  <si>
    <t>CO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</si>
  <si>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</si>
  <si>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</si>
  <si>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r>
      <t>SO</t>
    </r>
    <r>
      <rPr>
        <vertAlign val="subscript"/>
        <sz val="10"/>
        <rFont val="Arial"/>
        <family val="2"/>
      </rPr>
      <t>2</t>
    </r>
  </si>
  <si>
    <t>Reference</t>
  </si>
  <si>
    <t>Emission
Rate
(lbs/hr)</t>
  </si>
  <si>
    <t>Emission
Total
(tons/year)</t>
  </si>
  <si>
    <t>Pollutant</t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</si>
  <si>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
Rate
(lbs/hr)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</si>
  <si>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
Total
(tons/year)</t>
    </r>
  </si>
  <si>
    <t>PM10</t>
  </si>
  <si>
    <t>PM2.5</t>
  </si>
  <si>
    <t>lb/ft3</t>
  </si>
  <si>
    <t>tons</t>
  </si>
  <si>
    <t>feet</t>
  </si>
  <si>
    <t>AP-42 Table 11.9-4</t>
  </si>
  <si>
    <t>TSP Emission Factor</t>
  </si>
  <si>
    <t>Variables</t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</si>
  <si>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
Rate
(lbs/hr)</t>
    </r>
  </si>
  <si>
    <t>Scaling Factor</t>
  </si>
  <si>
    <t>Drilling and Blasting</t>
  </si>
  <si>
    <t>Blasting</t>
  </si>
  <si>
    <t>Drilling</t>
  </si>
  <si>
    <t>TSP</t>
  </si>
  <si>
    <t>lb/hole</t>
  </si>
  <si>
    <t>ft</t>
  </si>
  <si>
    <t>Blasts per Year</t>
  </si>
  <si>
    <r>
      <t>ft</t>
    </r>
    <r>
      <rPr>
        <vertAlign val="superscript"/>
        <sz val="10"/>
        <rFont val="Arial"/>
        <family val="2"/>
      </rPr>
      <t>2</t>
    </r>
  </si>
  <si>
    <t>Drilling (lb/hole)</t>
  </si>
  <si>
    <t>Blasting (lb/blast)</t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</si>
  <si>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 Factor</t>
    </r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</si>
  <si>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 Factor</t>
    </r>
  </si>
  <si>
    <t>AP-42 Table 11.9-1, Table 11.9-4 &amp; Appendix B.2 Table B.2-2</t>
  </si>
  <si>
    <t>Emission Source</t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</si>
  <si>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
Emission
Total
(tons/year)</t>
    </r>
  </si>
  <si>
    <t>Average Hole Spacing</t>
  </si>
  <si>
    <t>Assumes a maximum of one blast per day.</t>
  </si>
  <si>
    <t>Drill Shroud Control Efficiency</t>
  </si>
  <si>
    <t>AP-42 Table 13.3-1</t>
  </si>
  <si>
    <t>ANFO (lb/ton)</t>
  </si>
  <si>
    <t>ANFO used per blast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</si>
  <si>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
Emission Factor</t>
    </r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</si>
  <si>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 Factor</t>
    </r>
  </si>
  <si>
    <t>Hole Depth</t>
  </si>
  <si>
    <t>Hole Diameter</t>
  </si>
  <si>
    <t>inches</t>
  </si>
  <si>
    <t>ANFO Density</t>
  </si>
  <si>
    <t>g/cm3</t>
  </si>
  <si>
    <t>Hole Volume</t>
  </si>
  <si>
    <t>ft3</t>
  </si>
  <si>
    <t>CO 
Emission Factor</t>
  </si>
  <si>
    <t>Average Area per Blast</t>
  </si>
  <si>
    <t>=B3/(B4^2)*H12*H15/2000</t>
  </si>
  <si>
    <t>Formula for ANFO if Changed.</t>
  </si>
  <si>
    <t>AP-42 Table 11.9-1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</si>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</sst>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74" formatCode="#,##0.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2" fillId="0" borderId="0" xfId="1" applyFill="1" applyBorder="1"/>
    <xf numFmtId="0" fontId="0" fillId="0" borderId="7" xfId="1" applyFont="1" applyFill="1" applyBorder="1"/>
    <xf numFmtId="0" fontId="0" fillId="2" borderId="8" xfId="1" applyFont="1" applyFill="1" applyBorder="1"/>
    <xf numFmtId="0" fontId="0" fillId="0" borderId="9" xfId="1" applyFont="1" applyFill="1" applyBorder="1"/>
    <xf numFmtId="0" fontId="0" fillId="0" borderId="8" xfId="1" applyFont="1" applyFill="1" applyBorder="1"/>
    <xf numFmtId="0" fontId="0" fillId="0" borderId="10" xfId="1" applyFont="1" applyFill="1" applyBorder="1"/>
    <xf numFmtId="0" fontId="0" fillId="2" borderId="6" xfId="1" applyFont="1" applyFill="1" applyBorder="1"/>
    <xf numFmtId="0" fontId="3" fillId="4" borderId="18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15" xfId="0" applyFont="1" applyFill="1" applyBorder="1" applyAlignment="1">
      <alignment wrapText="1"/>
    </xf>
    <xf numFmtId="0" fontId="3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0" fillId="0" borderId="6" xfId="1" applyFont="1" applyFill="1" applyBorder="1"/>
    <xf numFmtId="0" fontId="0" fillId="0" borderId="0" xfId="1" applyFont="1"/>
    <xf numFmtId="0" fontId="0" fillId="0" borderId="0" xfId="1" applyFont="1" applyFill="1"/>
    <xf numFmtId="0" fontId="2" fillId="0" borderId="0" xfId="1" applyFill="1"/>
    <xf numFmtId="0" fontId="0" fillId="0" borderId="0" xfId="1" applyFont="1" applyFill="1" applyBorder="1"/>
    <xf numFmtId="0" fontId="0" fillId="0" borderId="0" xfId="1" quotePrefix="1" applyFont="1"/>
    <xf numFmtId="9" fontId="2" fillId="0" borderId="0" xfId="1" applyNumberFormat="1"/>
    <xf numFmtId="0" fontId="8" fillId="0" borderId="13" xfId="3" applyFont="1" applyBorder="1"/>
    <xf numFmtId="0" fontId="8" fillId="0" borderId="12" xfId="3" applyFont="1" applyBorder="1"/>
    <xf numFmtId="2" fontId="0" fillId="0" borderId="3" xfId="1" applyNumberFormat="1" applyFont="1" applyFill="1" applyBorder="1"/>
    <xf numFmtId="2" fontId="0" fillId="2" borderId="1" xfId="1" applyNumberFormat="1" applyFont="1" applyFill="1" applyBorder="1"/>
    <xf numFmtId="2" fontId="0" fillId="0" borderId="1" xfId="1" applyNumberFormat="1" applyFont="1" applyFill="1" applyBorder="1"/>
    <xf numFmtId="2" fontId="0" fillId="2" borderId="2" xfId="1" applyNumberFormat="1" applyFont="1" applyFill="1" applyBorder="1"/>
    <xf numFmtId="164" fontId="0" fillId="2" borderId="2" xfId="1" applyNumberFormat="1" applyFont="1" applyFill="1" applyBorder="1"/>
    <xf numFmtId="0" fontId="8" fillId="0" borderId="19" xfId="3" applyFont="1" applyBorder="1"/>
    <xf numFmtId="2" fontId="0" fillId="0" borderId="2" xfId="1" applyNumberFormat="1" applyFont="1" applyFill="1" applyBorder="1"/>
    <xf numFmtId="0" fontId="0" fillId="0" borderId="20" xfId="1" applyFont="1" applyFill="1" applyBorder="1"/>
    <xf numFmtId="2" fontId="0" fillId="0" borderId="21" xfId="1" applyNumberFormat="1" applyFont="1" applyFill="1" applyBorder="1"/>
    <xf numFmtId="2" fontId="0" fillId="0" borderId="11" xfId="1" applyNumberFormat="1" applyFont="1" applyFill="1" applyBorder="1"/>
    <xf numFmtId="2" fontId="0" fillId="2" borderId="9" xfId="1" applyNumberFormat="1" applyFont="1" applyFill="1" applyBorder="1"/>
    <xf numFmtId="2" fontId="0" fillId="0" borderId="7" xfId="1" applyNumberFormat="1" applyFont="1" applyFill="1" applyBorder="1"/>
    <xf numFmtId="9" fontId="0" fillId="0" borderId="0" xfId="1" applyNumberFormat="1" applyFont="1"/>
    <xf numFmtId="9" fontId="0" fillId="0" borderId="2" xfId="1" applyNumberFormat="1" applyFont="1" applyFill="1" applyBorder="1" applyAlignment="1"/>
    <xf numFmtId="0" fontId="0" fillId="0" borderId="21" xfId="1" applyNumberFormat="1" applyFont="1" applyFill="1" applyBorder="1"/>
    <xf numFmtId="164" fontId="0" fillId="0" borderId="21" xfId="1" applyNumberFormat="1" applyFont="1" applyFill="1" applyBorder="1"/>
    <xf numFmtId="2" fontId="0" fillId="0" borderId="7" xfId="1" applyNumberFormat="1" applyFont="1" applyFill="1" applyBorder="1" applyAlignment="1">
      <alignment horizontal="center"/>
    </xf>
    <xf numFmtId="2" fontId="0" fillId="0" borderId="0" xfId="1" applyNumberFormat="1" applyFont="1" applyFill="1" applyBorder="1"/>
    <xf numFmtId="2" fontId="0" fillId="0" borderId="9" xfId="1" applyNumberFormat="1" applyFont="1" applyFill="1" applyBorder="1"/>
    <xf numFmtId="0" fontId="2" fillId="6" borderId="0" xfId="1" applyFill="1"/>
    <xf numFmtId="3" fontId="0" fillId="3" borderId="1" xfId="1" applyNumberFormat="1" applyFont="1" applyFill="1" applyBorder="1" applyProtection="1">
      <protection locked="0"/>
    </xf>
    <xf numFmtId="3" fontId="0" fillId="3" borderId="1" xfId="1" applyNumberFormat="1" applyFont="1" applyFill="1" applyBorder="1" applyAlignment="1" applyProtection="1">
      <protection locked="0"/>
    </xf>
    <xf numFmtId="174" fontId="0" fillId="5" borderId="17" xfId="1" applyNumberFormat="1" applyFont="1" applyFill="1" applyBorder="1" applyAlignment="1" applyProtection="1">
      <protection locked="0"/>
    </xf>
    <xf numFmtId="0" fontId="5" fillId="0" borderId="0" xfId="1" applyFont="1" applyBorder="1" applyAlignment="1">
      <alignment horizontal="center"/>
    </xf>
    <xf numFmtId="0" fontId="0" fillId="0" borderId="11" xfId="1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center" vertic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2.5703125" style="1" bestFit="1" customWidth="1"/>
    <col min="3" max="3" width="10.42578125" style="1" bestFit="1" customWidth="1"/>
    <col min="4" max="4" width="10.5703125" style="1" bestFit="1" customWidth="1"/>
    <col min="5" max="5" width="28.5703125" style="1" customWidth="1"/>
    <col min="6" max="6" width="9.28515625" style="1" bestFit="1" customWidth="1"/>
    <col min="7" max="7" width="27.28515625" style="1" hidden="1" customWidth="1"/>
    <col min="8" max="8" width="12.28515625" style="1" hidden="1" customWidth="1"/>
    <col min="9" max="9" width="12.28515625" hidden="1" customWidth="1"/>
    <col min="10" max="11" width="8.85546875" style="1" hidden="1" customWidth="1"/>
    <col min="12" max="16384" width="8.85546875" style="1"/>
  </cols>
  <sheetData>
    <row r="1" spans="1:11" ht="21" thickBot="1" x14ac:dyDescent="0.35">
      <c r="A1" s="47" t="s">
        <v>21</v>
      </c>
      <c r="B1" s="47"/>
      <c r="C1" s="47"/>
      <c r="D1" s="47"/>
      <c r="E1" s="47"/>
      <c r="G1" s="16" t="s">
        <v>22</v>
      </c>
      <c r="K1" s="16" t="s">
        <v>54</v>
      </c>
    </row>
    <row r="2" spans="1:11" x14ac:dyDescent="0.2">
      <c r="A2" s="9" t="s">
        <v>18</v>
      </c>
      <c r="B2" s="10"/>
      <c r="C2" s="11"/>
      <c r="D2" s="19"/>
      <c r="E2" s="19"/>
      <c r="J2" s="1">
        <f>B3/(B4^2)*H12*H15/2000</f>
        <v>31.256561353007495</v>
      </c>
      <c r="K2" s="20" t="s">
        <v>53</v>
      </c>
    </row>
    <row r="3" spans="1:11" ht="14.25" x14ac:dyDescent="0.2">
      <c r="A3" s="22" t="s">
        <v>52</v>
      </c>
      <c r="B3" s="44">
        <v>15000</v>
      </c>
      <c r="C3" s="5" t="s">
        <v>28</v>
      </c>
      <c r="D3" s="19"/>
      <c r="E3" s="19"/>
      <c r="H3" s="16" t="s">
        <v>11</v>
      </c>
      <c r="I3" s="16" t="s">
        <v>12</v>
      </c>
    </row>
    <row r="4" spans="1:11" x14ac:dyDescent="0.2">
      <c r="A4" s="22" t="s">
        <v>36</v>
      </c>
      <c r="B4" s="44">
        <v>10</v>
      </c>
      <c r="C4" s="5" t="s">
        <v>26</v>
      </c>
      <c r="D4" s="19"/>
      <c r="E4" s="19"/>
      <c r="G4" s="16" t="s">
        <v>20</v>
      </c>
      <c r="H4" s="43">
        <v>0.52</v>
      </c>
      <c r="I4" s="43">
        <v>0.03</v>
      </c>
      <c r="J4" s="16" t="s">
        <v>55</v>
      </c>
    </row>
    <row r="5" spans="1:11" x14ac:dyDescent="0.2">
      <c r="A5" s="22" t="s">
        <v>27</v>
      </c>
      <c r="B5" s="45">
        <v>24</v>
      </c>
      <c r="C5" s="5"/>
      <c r="D5" s="19"/>
      <c r="E5" s="19"/>
      <c r="H5" s="21"/>
      <c r="I5" s="16"/>
    </row>
    <row r="6" spans="1:11" x14ac:dyDescent="0.2">
      <c r="A6" s="29" t="s">
        <v>41</v>
      </c>
      <c r="B6" s="46">
        <f>$J$2</f>
        <v>31.256561353007495</v>
      </c>
      <c r="C6" s="7" t="s">
        <v>14</v>
      </c>
      <c r="D6" s="19"/>
      <c r="E6" s="19"/>
      <c r="H6" s="36" t="s">
        <v>24</v>
      </c>
      <c r="I6" s="16"/>
    </row>
    <row r="7" spans="1:11" ht="13.5" thickBot="1" x14ac:dyDescent="0.25">
      <c r="A7" s="23" t="s">
        <v>38</v>
      </c>
      <c r="B7" s="37">
        <v>0.6</v>
      </c>
      <c r="C7" s="3"/>
      <c r="D7" s="19"/>
      <c r="E7" s="19"/>
      <c r="G7" s="16" t="s">
        <v>23</v>
      </c>
      <c r="H7" s="43">
        <v>1.3</v>
      </c>
      <c r="I7" s="16" t="s">
        <v>25</v>
      </c>
      <c r="J7" s="16" t="s">
        <v>16</v>
      </c>
    </row>
    <row r="8" spans="1:11" x14ac:dyDescent="0.2">
      <c r="A8" s="19" t="s">
        <v>37</v>
      </c>
      <c r="B8" s="19"/>
      <c r="C8" s="19"/>
      <c r="D8" s="19"/>
      <c r="E8" s="19"/>
      <c r="I8" s="1"/>
    </row>
    <row r="9" spans="1:11" ht="13.5" thickBot="1" x14ac:dyDescent="0.25">
      <c r="A9" s="19"/>
      <c r="B9" s="19"/>
      <c r="C9" s="19"/>
      <c r="D9" s="19"/>
      <c r="E9" s="19"/>
      <c r="G9" s="16" t="s">
        <v>44</v>
      </c>
      <c r="H9" s="43">
        <v>40</v>
      </c>
      <c r="I9" s="16" t="s">
        <v>15</v>
      </c>
      <c r="J9" s="16" t="s">
        <v>56</v>
      </c>
    </row>
    <row r="10" spans="1:11" ht="42.75" customHeight="1" thickBot="1" x14ac:dyDescent="0.25">
      <c r="A10" s="12" t="s">
        <v>8</v>
      </c>
      <c r="B10" s="13" t="s">
        <v>6</v>
      </c>
      <c r="C10" s="14" t="s">
        <v>7</v>
      </c>
      <c r="G10" s="16" t="s">
        <v>45</v>
      </c>
      <c r="H10" s="43">
        <v>6</v>
      </c>
      <c r="I10" s="16" t="s">
        <v>46</v>
      </c>
      <c r="J10" s="16" t="s">
        <v>56</v>
      </c>
    </row>
    <row r="11" spans="1:11" ht="15.75" x14ac:dyDescent="0.3">
      <c r="A11" s="31" t="s">
        <v>0</v>
      </c>
      <c r="B11" s="32">
        <f>$B$6*C22/24</f>
        <v>22.140064291713642</v>
      </c>
      <c r="C11" s="33">
        <f>$B$6*$B$5*C22/2000</f>
        <v>6.3763385160135284</v>
      </c>
      <c r="H11" s="1">
        <f>H10/12</f>
        <v>0.5</v>
      </c>
      <c r="I11" s="16" t="s">
        <v>15</v>
      </c>
    </row>
    <row r="12" spans="1:11" x14ac:dyDescent="0.2">
      <c r="A12" s="4" t="s">
        <v>1</v>
      </c>
      <c r="B12" s="25">
        <f>$B$6*B22/24</f>
        <v>87.257900443812602</v>
      </c>
      <c r="C12" s="34">
        <f>$B$6*$B$5*B22/2000</f>
        <v>25.130275327818023</v>
      </c>
      <c r="G12" s="16" t="s">
        <v>49</v>
      </c>
      <c r="H12" s="1">
        <f>PI()*(($H$11/2)^2)*$H$9</f>
        <v>7.8539816339744828</v>
      </c>
      <c r="I12" s="17" t="s">
        <v>50</v>
      </c>
    </row>
    <row r="13" spans="1:11" ht="15.75" x14ac:dyDescent="0.3">
      <c r="A13" s="6" t="s">
        <v>2</v>
      </c>
      <c r="B13" s="26">
        <f>SUM(B25:B26)</f>
        <v>2.2147589164831731</v>
      </c>
      <c r="C13" s="42">
        <f>SUM(C25:C26)</f>
        <v>0.63785056794715389</v>
      </c>
      <c r="D13" s="2"/>
      <c r="E13" s="2"/>
      <c r="I13" s="1"/>
    </row>
    <row r="14" spans="1:11" ht="15.75" x14ac:dyDescent="0.3">
      <c r="A14" s="4" t="s">
        <v>3</v>
      </c>
      <c r="B14" s="25">
        <f>SUM(D25:D26)</f>
        <v>0.51964955287402925</v>
      </c>
      <c r="C14" s="34">
        <f>SUM(E25:E26)</f>
        <v>0.1496590712277204</v>
      </c>
      <c r="D14" s="2"/>
      <c r="E14" s="2"/>
      <c r="G14" s="16" t="s">
        <v>47</v>
      </c>
      <c r="H14" s="43">
        <v>0.85</v>
      </c>
      <c r="I14" t="s">
        <v>48</v>
      </c>
      <c r="J14" s="16" t="s">
        <v>56</v>
      </c>
    </row>
    <row r="15" spans="1:11" ht="16.5" thickBot="1" x14ac:dyDescent="0.35">
      <c r="A15" s="15" t="s">
        <v>4</v>
      </c>
      <c r="B15" s="30">
        <f>$B$6*D22/24</f>
        <v>2.6047134460839581</v>
      </c>
      <c r="C15" s="35">
        <f>$B$6*$B$5*D22/2000</f>
        <v>0.7501574724721799</v>
      </c>
      <c r="D15" s="2"/>
      <c r="E15" s="2"/>
      <c r="H15" s="1">
        <f>H14*28316.8/453.6</f>
        <v>53.062786596119928</v>
      </c>
      <c r="I15" t="s">
        <v>13</v>
      </c>
    </row>
    <row r="16" spans="1:11" ht="13.5" thickBot="1" x14ac:dyDescent="0.25">
      <c r="A16" s="2"/>
      <c r="B16" s="2"/>
      <c r="C16" s="2"/>
      <c r="D16" s="2"/>
      <c r="E16" s="2"/>
    </row>
    <row r="17" spans="1:9" ht="42.75" customHeight="1" thickBot="1" x14ac:dyDescent="0.25">
      <c r="A17" s="12" t="s">
        <v>34</v>
      </c>
      <c r="B17" s="13" t="s">
        <v>17</v>
      </c>
      <c r="C17" s="13" t="s">
        <v>31</v>
      </c>
      <c r="D17" s="13" t="s">
        <v>32</v>
      </c>
      <c r="E17" s="14" t="s">
        <v>5</v>
      </c>
      <c r="G17" s="16"/>
      <c r="I17" s="1"/>
    </row>
    <row r="18" spans="1:9" ht="15.75" customHeight="1" x14ac:dyDescent="0.2">
      <c r="A18" s="31" t="s">
        <v>29</v>
      </c>
      <c r="B18" s="38">
        <v>1.3</v>
      </c>
      <c r="C18" s="39">
        <f>$B$18*0.51</f>
        <v>0.66300000000000003</v>
      </c>
      <c r="D18" s="39">
        <f>$B$18*0.15</f>
        <v>0.19500000000000001</v>
      </c>
      <c r="E18" s="48" t="s">
        <v>33</v>
      </c>
      <c r="I18" s="1"/>
    </row>
    <row r="19" spans="1:9" ht="15.75" customHeight="1" thickBot="1" x14ac:dyDescent="0.25">
      <c r="A19" s="8" t="s">
        <v>30</v>
      </c>
      <c r="B19" s="28">
        <f>0.000014*($B$3^1.5)</f>
        <v>25.719642299223377</v>
      </c>
      <c r="C19" s="28">
        <f>$B$19*H4</f>
        <v>13.374213995596156</v>
      </c>
      <c r="D19" s="28">
        <f>$B$19*I4</f>
        <v>0.77158926897670133</v>
      </c>
      <c r="E19" s="49"/>
      <c r="I19" s="1"/>
    </row>
    <row r="20" spans="1:9" ht="13.5" thickBot="1" x14ac:dyDescent="0.25">
      <c r="I20" s="1"/>
    </row>
    <row r="21" spans="1:9" s="18" customFormat="1" ht="42.75" customHeight="1" thickBot="1" x14ac:dyDescent="0.25">
      <c r="A21" s="12" t="s">
        <v>34</v>
      </c>
      <c r="B21" s="13" t="s">
        <v>51</v>
      </c>
      <c r="C21" s="13" t="s">
        <v>42</v>
      </c>
      <c r="D21" s="13" t="s">
        <v>43</v>
      </c>
      <c r="E21" s="14" t="s">
        <v>5</v>
      </c>
    </row>
    <row r="22" spans="1:9" ht="15.75" customHeight="1" thickBot="1" x14ac:dyDescent="0.25">
      <c r="A22" s="15" t="s">
        <v>40</v>
      </c>
      <c r="B22" s="30">
        <v>67</v>
      </c>
      <c r="C22" s="30">
        <v>17</v>
      </c>
      <c r="D22" s="30">
        <v>2</v>
      </c>
      <c r="E22" s="40" t="s">
        <v>39</v>
      </c>
      <c r="I22" s="1"/>
    </row>
    <row r="23" spans="1:9" s="18" customFormat="1" ht="15.75" customHeight="1" thickBot="1" x14ac:dyDescent="0.25">
      <c r="A23" s="19"/>
      <c r="B23" s="41"/>
      <c r="C23" s="41"/>
      <c r="D23" s="41"/>
      <c r="E23" s="41"/>
    </row>
    <row r="24" spans="1:9" ht="56.25" customHeight="1" thickBot="1" x14ac:dyDescent="0.25">
      <c r="A24" s="12" t="s">
        <v>34</v>
      </c>
      <c r="B24" s="13" t="s">
        <v>9</v>
      </c>
      <c r="C24" s="13" t="s">
        <v>10</v>
      </c>
      <c r="D24" s="13" t="s">
        <v>19</v>
      </c>
      <c r="E24" s="13" t="s">
        <v>35</v>
      </c>
      <c r="I24" s="1"/>
    </row>
    <row r="25" spans="1:9" ht="15.75" customHeight="1" x14ac:dyDescent="0.2">
      <c r="A25" s="6" t="s">
        <v>23</v>
      </c>
      <c r="B25" s="24">
        <f>$C$18*($B$3/($B$4^2))/24*(1-$B$7)</f>
        <v>1.6575</v>
      </c>
      <c r="C25" s="24">
        <f>$C$18*($B$3/($B$4^2))*$B$5/2000*(1-$B$7)</f>
        <v>0.47736000000000001</v>
      </c>
      <c r="D25" s="24">
        <f>$D$18*($B$3/($B$4^2))/24*(1-$B$7)</f>
        <v>0.48750000000000004</v>
      </c>
      <c r="E25" s="24">
        <f>$D$18*($B$3/($B$4^2))*$B$5/2000*(1-$B$7)</f>
        <v>0.1404</v>
      </c>
      <c r="I25" s="1"/>
    </row>
    <row r="26" spans="1:9" ht="15.75" customHeight="1" thickBot="1" x14ac:dyDescent="0.25">
      <c r="A26" s="8" t="s">
        <v>22</v>
      </c>
      <c r="B26" s="27">
        <f>$C$19/24</f>
        <v>0.55725891648317316</v>
      </c>
      <c r="C26" s="27">
        <f>$C$19*$B$5/2000</f>
        <v>0.16049056794715386</v>
      </c>
      <c r="D26" s="27">
        <f>$D$19/24</f>
        <v>3.2149552874029222E-2</v>
      </c>
      <c r="E26" s="27">
        <f>$D$19*$B$5/2000</f>
        <v>9.2590712277204161E-3</v>
      </c>
      <c r="I26" s="1"/>
    </row>
    <row r="27" spans="1:9" s="18" customFormat="1" ht="15.75" customHeight="1" x14ac:dyDescent="0.2">
      <c r="A27" s="19"/>
      <c r="B27" s="41"/>
      <c r="C27" s="41"/>
      <c r="D27" s="41"/>
      <c r="E27" s="41"/>
    </row>
    <row r="28" spans="1:9" s="18" customFormat="1" ht="15.75" customHeight="1" x14ac:dyDescent="0.2">
      <c r="A28" s="19"/>
      <c r="B28" s="41"/>
      <c r="C28" s="41"/>
      <c r="D28" s="41"/>
      <c r="E28" s="41"/>
    </row>
    <row r="29" spans="1:9" s="18" customFormat="1" ht="15.75" customHeight="1" x14ac:dyDescent="0.2">
      <c r="A29" s="19"/>
      <c r="B29" s="41"/>
      <c r="C29" s="41"/>
      <c r="D29" s="41"/>
      <c r="E29" s="41"/>
    </row>
    <row r="30" spans="1:9" x14ac:dyDescent="0.2">
      <c r="A30" s="16"/>
      <c r="I30" s="1"/>
    </row>
    <row r="31" spans="1:9" x14ac:dyDescent="0.2">
      <c r="I31" s="1"/>
    </row>
    <row r="32" spans="1:9" x14ac:dyDescent="0.2">
      <c r="I32" s="1"/>
    </row>
    <row r="33" spans="9:9" x14ac:dyDescent="0.2">
      <c r="I33" s="1"/>
    </row>
    <row r="34" spans="9:9" x14ac:dyDescent="0.2">
      <c r="I34" s="1"/>
    </row>
    <row r="35" spans="9:9" x14ac:dyDescent="0.2">
      <c r="I35" s="1"/>
    </row>
    <row r="36" spans="9:9" ht="12" customHeight="1" x14ac:dyDescent="0.2">
      <c r="I36" s="1"/>
    </row>
    <row r="37" spans="9:9" x14ac:dyDescent="0.2">
      <c r="I37" s="1"/>
    </row>
    <row r="38" spans="9:9" x14ac:dyDescent="0.2">
      <c r="I38" s="1"/>
    </row>
    <row r="39" spans="9:9" x14ac:dyDescent="0.2">
      <c r="I39" s="1"/>
    </row>
    <row r="40" spans="9:9" x14ac:dyDescent="0.2">
      <c r="I40" s="1"/>
    </row>
    <row r="41" spans="9:9" x14ac:dyDescent="0.2">
      <c r="I41" s="1"/>
    </row>
  </sheetData>
  <sheetProtection password="ED7B" sheet="1" objects="1" scenarios="1" selectLockedCells="1"/>
  <protectedRanges>
    <protectedRange sqref="B3:B7" name="Input Cells"/>
  </protectedRanges>
  <mergeCells count="2">
    <mergeCell ref="A1:E1"/>
    <mergeCell ref="E18:E19"/>
  </mergeCells>
  <conditionalFormatting sqref="B6">
    <cfRule type="cellIs" dxfId="0" priority="2" operator="equal">
      <formula>$J$2</formula>
    </cfRule>
  </conditionalFormatting>
  <pageMargins left="0.7" right="0.7" top="0.75" bottom="0.75" header="0.3" footer="0.3"/>
  <pageSetup orientation="portrait" r:id="rId1"/>
  <headerFooter>
    <oddHeader>&amp;L&amp;G</oddHeader>
    <oddFooter>&amp;CPage &amp;P of &amp;N&amp;RVersion 1.0
November 29,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Drill &amp; Blast</vt:lpstr>
      <vt:lpstr>'Drill &amp; Blast'!Print_Area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2018-11-29T18:54:26Z</dcterms:modified>
</cp:coreProperties>
</file>